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R31" i="1" s="1"/>
  <c r="E27" i="1"/>
  <c r="M27" i="1" s="1"/>
  <c r="L25" i="1"/>
  <c r="J25" i="1"/>
  <c r="G25" i="1"/>
  <c r="D25" i="1"/>
  <c r="C25" i="1"/>
  <c r="R24" i="1"/>
  <c r="P24" i="1"/>
  <c r="P25" i="1"/>
  <c r="M24" i="1"/>
  <c r="I24" i="1"/>
  <c r="H24" i="1"/>
  <c r="R23" i="1"/>
  <c r="R25" i="1"/>
  <c r="P23" i="1"/>
  <c r="O23" i="1"/>
  <c r="O25" i="1"/>
  <c r="N23" i="1"/>
  <c r="N25" i="1" s="1"/>
  <c r="M23" i="1"/>
  <c r="M25" i="1" s="1"/>
  <c r="K23" i="1"/>
  <c r="K25" i="1"/>
  <c r="J23" i="1"/>
  <c r="I23" i="1"/>
  <c r="I25" i="1"/>
  <c r="H23" i="1"/>
  <c r="H25" i="1" s="1"/>
  <c r="F23" i="1"/>
  <c r="F25" i="1" s="1"/>
  <c r="R21" i="1"/>
  <c r="E21" i="1"/>
  <c r="M21" i="1" s="1"/>
  <c r="C19" i="1"/>
  <c r="R18" i="1"/>
  <c r="P18" i="1"/>
  <c r="N18" i="1"/>
  <c r="H18" i="1"/>
  <c r="G18" i="1"/>
  <c r="F18" i="1"/>
  <c r="E18" i="1"/>
  <c r="J18" i="1" s="1"/>
  <c r="O18" i="1"/>
  <c r="R17" i="1"/>
  <c r="M17" i="1"/>
  <c r="E17" i="1"/>
  <c r="H17" i="1"/>
  <c r="R16" i="1"/>
  <c r="E16" i="1"/>
  <c r="P16" i="1" s="1"/>
  <c r="M16" i="1"/>
  <c r="R15" i="1"/>
  <c r="E15" i="1"/>
  <c r="P15" i="1" s="1"/>
  <c r="D15" i="1"/>
  <c r="R14" i="1"/>
  <c r="D14" i="1"/>
  <c r="E14" i="1" s="1"/>
  <c r="R13" i="1"/>
  <c r="E13" i="1"/>
  <c r="N13" i="1" s="1"/>
  <c r="K13" i="1"/>
  <c r="D13" i="1"/>
  <c r="R12" i="1"/>
  <c r="R19" i="1"/>
  <c r="D12" i="1"/>
  <c r="E12" i="1"/>
  <c r="L10" i="1"/>
  <c r="D10" i="1"/>
  <c r="C10" i="1"/>
  <c r="R9" i="1"/>
  <c r="E9" i="1"/>
  <c r="J9" i="1" s="1"/>
  <c r="I9" i="1"/>
  <c r="R8" i="1"/>
  <c r="D8" i="1"/>
  <c r="E8" i="1" s="1"/>
  <c r="R7" i="1"/>
  <c r="E7" i="1"/>
  <c r="I7" i="1" s="1"/>
  <c r="G7" i="1"/>
  <c r="R6" i="1"/>
  <c r="R10" i="1"/>
  <c r="E6" i="1"/>
  <c r="K6" i="1" s="1"/>
  <c r="N6" i="1"/>
  <c r="D6" i="1"/>
  <c r="O12" i="1"/>
  <c r="N12" i="1"/>
  <c r="G12" i="1"/>
  <c r="I12" i="1"/>
  <c r="P12" i="1"/>
  <c r="J12" i="1"/>
  <c r="M12" i="1"/>
  <c r="F12" i="1"/>
  <c r="G13" i="1"/>
  <c r="H6" i="1"/>
  <c r="F13" i="1"/>
  <c r="N15" i="1"/>
  <c r="F17" i="1"/>
  <c r="K17" i="1"/>
  <c r="P17" i="1"/>
  <c r="M18" i="1"/>
  <c r="J21" i="1"/>
  <c r="K27" i="1"/>
  <c r="P27" i="1"/>
  <c r="J17" i="1"/>
  <c r="J27" i="1"/>
  <c r="J6" i="1"/>
  <c r="H13" i="1"/>
  <c r="K15" i="1"/>
  <c r="I17" i="1"/>
  <c r="N17" i="1"/>
  <c r="I18" i="1"/>
  <c r="I27" i="1"/>
  <c r="N27" i="1"/>
  <c r="O17" i="1"/>
  <c r="O8" i="1" l="1"/>
  <c r="I8" i="1"/>
  <c r="P8" i="1"/>
  <c r="G8" i="1"/>
  <c r="F8" i="1"/>
  <c r="H8" i="1"/>
  <c r="H10" i="1" s="1"/>
  <c r="N8" i="1"/>
  <c r="N10" i="1" s="1"/>
  <c r="K8" i="1"/>
  <c r="K10" i="1" s="1"/>
  <c r="J8" i="1"/>
  <c r="M8" i="1"/>
  <c r="M14" i="1"/>
  <c r="O14" i="1"/>
  <c r="P14" i="1"/>
  <c r="N14" i="1"/>
  <c r="N19" i="1" s="1"/>
  <c r="I14" i="1"/>
  <c r="H14" i="1"/>
  <c r="G14" i="1"/>
  <c r="J14" i="1"/>
  <c r="K14" i="1"/>
  <c r="K19" i="1" s="1"/>
  <c r="F14" i="1"/>
  <c r="F19" i="1" s="1"/>
  <c r="O21" i="1"/>
  <c r="F21" i="1"/>
  <c r="H27" i="1"/>
  <c r="I13" i="1"/>
  <c r="N21" i="1"/>
  <c r="E10" i="1"/>
  <c r="F6" i="1"/>
  <c r="F10" i="1" s="1"/>
  <c r="I21" i="1"/>
  <c r="F27" i="1"/>
  <c r="O16" i="1"/>
  <c r="O13" i="1"/>
  <c r="G9" i="1"/>
  <c r="J7" i="1"/>
  <c r="J10" i="1" s="1"/>
  <c r="J15" i="1"/>
  <c r="I6" i="1"/>
  <c r="I10" i="1" s="1"/>
  <c r="G6" i="1"/>
  <c r="G10" i="1" s="1"/>
  <c r="D19" i="1"/>
  <c r="M15" i="1"/>
  <c r="F16" i="1"/>
  <c r="N16" i="1"/>
  <c r="F15" i="1"/>
  <c r="I15" i="1"/>
  <c r="O15" i="1"/>
  <c r="P6" i="1"/>
  <c r="P10" i="1" s="1"/>
  <c r="H15" i="1"/>
  <c r="L16" i="1"/>
  <c r="L19" i="1" s="1"/>
  <c r="G21" i="1"/>
  <c r="H21" i="1"/>
  <c r="G16" i="1"/>
  <c r="G19" i="1" s="1"/>
  <c r="M13" i="1"/>
  <c r="M19" i="1" s="1"/>
  <c r="O6" i="1"/>
  <c r="O10" i="1" s="1"/>
  <c r="O27" i="1"/>
  <c r="P21" i="1"/>
  <c r="I16" i="1"/>
  <c r="J13" i="1"/>
  <c r="M6" i="1"/>
  <c r="M10" i="1" s="1"/>
  <c r="P13" i="1"/>
  <c r="P19" i="1" s="1"/>
  <c r="H16" i="1"/>
  <c r="H19" i="1" l="1"/>
  <c r="I19" i="1"/>
  <c r="J19" i="1"/>
  <c r="O1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<sst xmlns="http://schemas.openxmlformats.org/spreadsheetml/2006/main" count="51" uniqueCount="44">
  <si>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</si>
  <si>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</si>
  <si>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</si>
  <si>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</si>
  <si>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</si>
  <si>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</si>
  <si>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</si>
  <si>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</si>
  <si>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</si>
  <si>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</si>
  <si>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</si>
  <si>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</si>
  <si>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</si>
  <si>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</si>
  <si>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</si>
  <si>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</si>
  <si>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</si>
  <si>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</si>
  <si>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</si>
  <si>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</si>
  <si>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</si>
  <si>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</si>
  <si>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</si>
  <si>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</si>
  <si>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</si>
  <si>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</si>
  <si>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растит. масло</t>
  </si>
  <si>
    <t>картофель</t>
  </si>
  <si>
    <t>6.соль</t>
  </si>
  <si>
    <t xml:space="preserve"> </t>
  </si>
  <si>
    <t>всего грамм</t>
  </si>
  <si>
    <t xml:space="preserve">1.салат из овощей </t>
  </si>
  <si>
    <t>морковь</t>
  </si>
  <si>
    <t>зел.горох</t>
  </si>
  <si>
    <t>капуста</t>
  </si>
  <si>
    <t xml:space="preserve">2.суп картофельный с горохом,говядиной </t>
  </si>
  <si>
    <t>мясо говядины</t>
  </si>
  <si>
    <t>лук</t>
  </si>
  <si>
    <t>томат</t>
  </si>
  <si>
    <t>горох лущенный</t>
  </si>
  <si>
    <t xml:space="preserve">5.слива </t>
  </si>
  <si>
    <t>27.01.2022г.</t>
  </si>
  <si>
    <t>12.02.2022г.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</si>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</sst>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13" fillId="0" borderId="1" xfId="0" applyNumberFormat="1" applyFont="1" applyBorder="1"/>
    <xf numFmtId="1" fontId="6" fillId="0" borderId="1" xfId="0" applyNumberFormat="1" applyFont="1" applyBorder="1"/>
    <xf numFmtId="0" fontId="5" fillId="0" borderId="2" xfId="1" applyNumberFormat="1" applyFont="1" applyFill="1" applyBorder="1" applyAlignment="1" applyProtection="1">
      <alignment vertical="center" wrapText="1"/>
    </xf>
    <xf numFmtId="0" fontId="17" fillId="0" borderId="2" xfId="1" applyNumberFormat="1" applyFont="1" applyFill="1" applyBorder="1" applyAlignment="1" applyProtection="1">
      <alignment horizontal="left" vertical="top" wrapText="1"/>
    </xf>
    <xf numFmtId="2" fontId="9" fillId="0" borderId="2" xfId="0" applyNumberFormat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vertical="center" wrapText="1"/>
    </xf>
    <xf numFmtId="2" fontId="20" fillId="0" borderId="1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2" fontId="21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horizontal="left"/>
    </xf>
    <xf numFmtId="2" fontId="10" fillId="0" borderId="1" xfId="1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left"/>
    </xf>
    <xf numFmtId="1" fontId="22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/>
    <xf numFmtId="2" fontId="20" fillId="0" borderId="1" xfId="0" applyNumberFormat="1" applyFont="1" applyBorder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3" xfId="1" applyNumberFormat="1" applyFont="1" applyFill="1" applyBorder="1" applyAlignment="1" applyProtection="1">
      <alignment horizontal="center" vertical="top"/>
    </xf>
    <xf numFmtId="0" fontId="14" fillId="2" borderId="4" xfId="1" applyNumberFormat="1" applyFont="1" applyFill="1" applyBorder="1" applyAlignment="1" applyProtection="1">
      <alignment horizontal="center" vertical="top"/>
    </xf>
    <xf numFmtId="0" fontId="16" fillId="2" borderId="3" xfId="1" applyNumberFormat="1" applyFont="1" applyFill="1" applyBorder="1" applyAlignment="1" applyProtection="1">
      <alignment horizontal="center" vertical="top" wrapText="1"/>
    </xf>
    <xf numFmtId="0" fontId="18" fillId="0" borderId="4" xfId="0" applyFont="1" applyBorder="1"/>
    <xf numFmtId="2" fontId="24" fillId="0" borderId="5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2" fontId="19" fillId="0" borderId="5" xfId="1" applyNumberFormat="1" applyFont="1" applyFill="1" applyBorder="1" applyAlignment="1" applyProtection="1">
      <alignment horizontal="center" vertical="center" wrapText="1"/>
    </xf>
    <xf numFmtId="2" fontId="19" fillId="0" borderId="6" xfId="1" applyNumberFormat="1" applyFont="1" applyFill="1" applyBorder="1" applyAlignment="1" applyProtection="1">
      <alignment horizontal="center" vertical="center" wrapText="1"/>
    </xf>
    <xf numFmtId="2" fontId="19" fillId="0" borderId="7" xfId="1" applyNumberFormat="1" applyFont="1" applyFill="1" applyBorder="1" applyAlignment="1" applyProtection="1">
      <alignment horizontal="center" vertical="center" wrapText="1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43</v>
      </c>
      <c r="C1" s="1"/>
      <c r="D1" s="1"/>
      <c r="E1" s="1"/>
      <c r="F1" s="1"/>
      <c r="G1" s="1"/>
      <c r="H1" s="1"/>
      <c r="I1" s="1" t="s">
        <v>1</v>
      </c>
      <c r="J1" s="2" t="s">
        <v>42</v>
      </c>
    </row>
    <row r="2" spans="1:18" ht="18.75" customHeight="1" x14ac:dyDescent="0.3">
      <c r="A2" s="9"/>
      <c r="B2" s="51" t="s">
        <v>5</v>
      </c>
      <c r="C2" s="10" t="s">
        <v>29</v>
      </c>
      <c r="D2" s="52" t="s">
        <v>6</v>
      </c>
      <c r="E2" s="52" t="s">
        <v>7</v>
      </c>
      <c r="F2" s="36" t="s">
        <v>2</v>
      </c>
      <c r="G2" s="36" t="s">
        <v>3</v>
      </c>
      <c r="H2" s="36" t="s">
        <v>4</v>
      </c>
      <c r="I2" s="36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68" t="s">
        <v>11</v>
      </c>
      <c r="R2" s="40" t="s">
        <v>12</v>
      </c>
    </row>
    <row r="3" spans="1:18" ht="15" customHeight="1" x14ac:dyDescent="0.3">
      <c r="A3" s="9"/>
      <c r="B3" s="51"/>
      <c r="C3" s="55" t="s">
        <v>30</v>
      </c>
      <c r="D3" s="53"/>
      <c r="E3" s="53"/>
      <c r="F3" s="37"/>
      <c r="G3" s="37"/>
      <c r="H3" s="37"/>
      <c r="I3" s="37"/>
      <c r="J3" s="36" t="s">
        <v>13</v>
      </c>
      <c r="K3" s="43" t="s">
        <v>14</v>
      </c>
      <c r="L3" s="36" t="s">
        <v>15</v>
      </c>
      <c r="M3" s="36" t="s">
        <v>16</v>
      </c>
      <c r="N3" s="36" t="s">
        <v>17</v>
      </c>
      <c r="O3" s="36" t="s">
        <v>18</v>
      </c>
      <c r="P3" s="36" t="s">
        <v>19</v>
      </c>
      <c r="Q3" s="37"/>
      <c r="R3" s="41"/>
    </row>
    <row r="4" spans="1:18" ht="40.5" x14ac:dyDescent="0.3">
      <c r="A4" s="9"/>
      <c r="B4" s="11" t="s">
        <v>41</v>
      </c>
      <c r="C4" s="56"/>
      <c r="D4" s="54"/>
      <c r="E4" s="54"/>
      <c r="F4" s="38"/>
      <c r="G4" s="38"/>
      <c r="H4" s="38"/>
      <c r="I4" s="38"/>
      <c r="J4" s="38"/>
      <c r="K4" s="44"/>
      <c r="L4" s="38"/>
      <c r="M4" s="38"/>
      <c r="N4" s="38"/>
      <c r="O4" s="38"/>
      <c r="P4" s="38"/>
      <c r="Q4" s="38"/>
      <c r="R4" s="42"/>
    </row>
    <row r="5" spans="1:18" ht="21" customHeight="1" x14ac:dyDescent="0.25">
      <c r="A5" s="60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</row>
    <row r="6" spans="1:18" x14ac:dyDescent="0.25">
      <c r="A6" s="12"/>
      <c r="B6" s="13" t="s">
        <v>32</v>
      </c>
      <c r="C6" s="14">
        <v>15</v>
      </c>
      <c r="D6" s="14">
        <f>C6*0.2</f>
        <v>3</v>
      </c>
      <c r="E6" s="14">
        <f>C6-D6</f>
        <v>12</v>
      </c>
      <c r="F6" s="14">
        <f>E6*1.3%</f>
        <v>0.15600000000000003</v>
      </c>
      <c r="G6" s="14">
        <f>E6*0.001</f>
        <v>1.2E-2</v>
      </c>
      <c r="H6" s="14">
        <f>E6*0.072</f>
        <v>0.86399999999999988</v>
      </c>
      <c r="I6" s="14">
        <f>E6*0.3</f>
        <v>3.5999999999999996</v>
      </c>
      <c r="J6" s="14">
        <f>E6*0.06%</f>
        <v>7.1999999999999998E-3</v>
      </c>
      <c r="K6" s="14">
        <f>E6*5%</f>
        <v>0.60000000000000009</v>
      </c>
      <c r="L6" s="14">
        <v>0</v>
      </c>
      <c r="M6" s="14">
        <f>E6*51%</f>
        <v>6.12</v>
      </c>
      <c r="N6" s="14">
        <f>E6*55%</f>
        <v>6.6000000000000005</v>
      </c>
      <c r="O6" s="14">
        <f>E6*38%</f>
        <v>4.5600000000000005</v>
      </c>
      <c r="P6" s="14">
        <f>E6*0.7%</f>
        <v>8.3999999999999991E-2</v>
      </c>
      <c r="Q6" s="14">
        <v>60</v>
      </c>
      <c r="R6" s="14">
        <f>C6/1000*60</f>
        <v>0.89999999999999991</v>
      </c>
    </row>
    <row r="7" spans="1:18" x14ac:dyDescent="0.25">
      <c r="A7" s="15"/>
      <c r="B7" s="16" t="s">
        <v>33</v>
      </c>
      <c r="C7" s="17">
        <v>10</v>
      </c>
      <c r="D7" s="17">
        <v>0</v>
      </c>
      <c r="E7" s="17">
        <f>C7-D7</f>
        <v>10</v>
      </c>
      <c r="F7" s="17">
        <v>0</v>
      </c>
      <c r="G7" s="17">
        <f>E7*0.999</f>
        <v>9.99</v>
      </c>
      <c r="H7" s="17">
        <v>0</v>
      </c>
      <c r="I7" s="17">
        <f>E7*8.99</f>
        <v>89.9</v>
      </c>
      <c r="J7" s="17">
        <f>E7*0.06%</f>
        <v>5.9999999999999993E-3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180</v>
      </c>
      <c r="R7" s="17">
        <f>C7/1000*180</f>
        <v>1.8</v>
      </c>
    </row>
    <row r="8" spans="1:18" x14ac:dyDescent="0.25">
      <c r="A8" s="15"/>
      <c r="B8" s="13" t="s">
        <v>34</v>
      </c>
      <c r="C8" s="14">
        <v>30</v>
      </c>
      <c r="D8" s="14">
        <f>C8*0.2</f>
        <v>6</v>
      </c>
      <c r="E8" s="14">
        <f>C8-D8</f>
        <v>24</v>
      </c>
      <c r="F8" s="14">
        <f>E8*0.018</f>
        <v>0.43199999999999994</v>
      </c>
      <c r="G8" s="14">
        <f>E8*0.001</f>
        <v>2.4E-2</v>
      </c>
      <c r="H8" s="14">
        <f>E8*0.047</f>
        <v>1.1280000000000001</v>
      </c>
      <c r="I8" s="14">
        <f>E8*0.27</f>
        <v>6.48</v>
      </c>
      <c r="J8" s="14">
        <f>E8*0.03%</f>
        <v>7.1999999999999998E-3</v>
      </c>
      <c r="K8" s="14">
        <f>E8*45%</f>
        <v>10.8</v>
      </c>
      <c r="L8" s="14">
        <v>0</v>
      </c>
      <c r="M8" s="14">
        <f>E8*48%</f>
        <v>11.52</v>
      </c>
      <c r="N8" s="14">
        <f>E8*31%</f>
        <v>7.4399999999999995</v>
      </c>
      <c r="O8" s="14">
        <f>E8*16%</f>
        <v>3.84</v>
      </c>
      <c r="P8" s="14">
        <f>E8*0.6%</f>
        <v>0.14400000000000002</v>
      </c>
      <c r="Q8" s="14">
        <v>50</v>
      </c>
      <c r="R8" s="14">
        <f>C8/1000*50</f>
        <v>1.5</v>
      </c>
    </row>
    <row r="9" spans="1:18" ht="30" x14ac:dyDescent="0.25">
      <c r="A9" s="15"/>
      <c r="B9" s="13" t="s">
        <v>26</v>
      </c>
      <c r="C9" s="14">
        <v>5</v>
      </c>
      <c r="D9" s="14">
        <v>0</v>
      </c>
      <c r="E9" s="14">
        <f>C9-D9</f>
        <v>5</v>
      </c>
      <c r="F9" s="14">
        <v>0</v>
      </c>
      <c r="G9" s="14">
        <f>E9*0.999</f>
        <v>4.9950000000000001</v>
      </c>
      <c r="H9" s="14">
        <v>0</v>
      </c>
      <c r="I9" s="14">
        <f>E9*8.99%</f>
        <v>0.44950000000000001</v>
      </c>
      <c r="J9" s="14">
        <f>E9*0.06%</f>
        <v>2.9999999999999996E-3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150</v>
      </c>
      <c r="R9" s="14">
        <f>C9/1000*150</f>
        <v>0.75</v>
      </c>
    </row>
    <row r="10" spans="1:18" x14ac:dyDescent="0.25">
      <c r="A10" s="18"/>
      <c r="B10" s="19" t="s">
        <v>21</v>
      </c>
      <c r="C10" s="20">
        <f>SUM(C6:C9)</f>
        <v>60</v>
      </c>
      <c r="D10" s="20">
        <f t="shared" ref="D10:P10" si="0">SUM(D6:D9)</f>
        <v>9</v>
      </c>
      <c r="E10" s="20">
        <f t="shared" si="0"/>
        <v>51</v>
      </c>
      <c r="F10" s="20">
        <f t="shared" si="0"/>
        <v>0.58799999999999997</v>
      </c>
      <c r="G10" s="20">
        <f t="shared" si="0"/>
        <v>15.021000000000001</v>
      </c>
      <c r="H10" s="20">
        <f t="shared" si="0"/>
        <v>1.992</v>
      </c>
      <c r="I10" s="20">
        <f t="shared" si="0"/>
        <v>100.4295</v>
      </c>
      <c r="J10" s="20">
        <f t="shared" si="0"/>
        <v>2.3400000000000001E-2</v>
      </c>
      <c r="K10" s="20">
        <f t="shared" si="0"/>
        <v>11.4</v>
      </c>
      <c r="L10" s="20">
        <f t="shared" si="0"/>
        <v>0</v>
      </c>
      <c r="M10" s="20">
        <f t="shared" si="0"/>
        <v>17.64</v>
      </c>
      <c r="N10" s="20">
        <f t="shared" si="0"/>
        <v>14.04</v>
      </c>
      <c r="O10" s="20">
        <f t="shared" si="0"/>
        <v>8.4</v>
      </c>
      <c r="P10" s="20">
        <f t="shared" si="0"/>
        <v>0.22800000000000001</v>
      </c>
      <c r="Q10" s="20"/>
      <c r="R10" s="20">
        <f>SUM(R6:R9)</f>
        <v>4.95</v>
      </c>
    </row>
    <row r="11" spans="1:18" ht="21" x14ac:dyDescent="0.35">
      <c r="A11" s="21"/>
      <c r="B11" s="65" t="s">
        <v>35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</row>
    <row r="12" spans="1:18" ht="18.75" x14ac:dyDescent="0.25">
      <c r="A12" s="22"/>
      <c r="B12" s="23" t="s">
        <v>36</v>
      </c>
      <c r="C12" s="24">
        <v>60</v>
      </c>
      <c r="D12" s="24">
        <f>C12*26.4%</f>
        <v>15.84</v>
      </c>
      <c r="E12" s="24">
        <f>SUM(C12-D12)</f>
        <v>44.16</v>
      </c>
      <c r="F12" s="24">
        <f>E12*18.6%</f>
        <v>8.2137600000000006</v>
      </c>
      <c r="G12" s="24">
        <f>E12*16%</f>
        <v>7.0655999999999999</v>
      </c>
      <c r="H12" s="24">
        <v>0</v>
      </c>
      <c r="I12" s="24">
        <f>E12*218%</f>
        <v>96.268799999999999</v>
      </c>
      <c r="J12" s="24">
        <f>E12*0.06%</f>
        <v>2.6495999999999995E-2</v>
      </c>
      <c r="K12" s="24">
        <v>0</v>
      </c>
      <c r="L12" s="24">
        <v>0</v>
      </c>
      <c r="M12" s="24">
        <f>E12*9%</f>
        <v>3.9743999999999997</v>
      </c>
      <c r="N12" s="24">
        <f>E12*188%</f>
        <v>83.020799999999994</v>
      </c>
      <c r="O12" s="24">
        <f>E12*22%</f>
        <v>9.7151999999999994</v>
      </c>
      <c r="P12" s="24">
        <f>E12*2.7%</f>
        <v>1.19232</v>
      </c>
      <c r="Q12" s="24">
        <v>475</v>
      </c>
      <c r="R12" s="24">
        <f>C12/1000*475</f>
        <v>28.5</v>
      </c>
    </row>
    <row r="13" spans="1:18" ht="18.75" x14ac:dyDescent="0.25">
      <c r="A13" s="25"/>
      <c r="B13" s="26" t="s">
        <v>27</v>
      </c>
      <c r="C13" s="14">
        <v>42</v>
      </c>
      <c r="D13" s="14">
        <f>C13*0.25</f>
        <v>10.5</v>
      </c>
      <c r="E13" s="14">
        <f>C13-D13</f>
        <v>31.5</v>
      </c>
      <c r="F13" s="14">
        <f>E13*2%</f>
        <v>0.63</v>
      </c>
      <c r="G13" s="14">
        <f>E13*0.4%</f>
        <v>0.126</v>
      </c>
      <c r="H13" s="14">
        <f>E13*16.3%</f>
        <v>5.1345000000000001</v>
      </c>
      <c r="I13" s="14">
        <f>E13*80%</f>
        <v>25.200000000000003</v>
      </c>
      <c r="J13" s="14">
        <f>E13*0.12%</f>
        <v>3.7799999999999993E-2</v>
      </c>
      <c r="K13" s="14">
        <f>E13*20%</f>
        <v>6.3000000000000007</v>
      </c>
      <c r="L13" s="14">
        <v>0</v>
      </c>
      <c r="M13" s="14">
        <f>E13*10%</f>
        <v>3.1500000000000004</v>
      </c>
      <c r="N13" s="14">
        <f>E13*58%</f>
        <v>18.27</v>
      </c>
      <c r="O13" s="14">
        <f>E13*23%</f>
        <v>7.2450000000000001</v>
      </c>
      <c r="P13" s="14">
        <f>E13*0.9%</f>
        <v>0.28350000000000003</v>
      </c>
      <c r="Q13" s="14">
        <v>57</v>
      </c>
      <c r="R13" s="14">
        <f>C13/1000*57</f>
        <v>2.3940000000000001</v>
      </c>
    </row>
    <row r="14" spans="1:18" ht="18.75" x14ac:dyDescent="0.25">
      <c r="A14" s="25"/>
      <c r="B14" s="26" t="s">
        <v>32</v>
      </c>
      <c r="C14" s="14">
        <v>14</v>
      </c>
      <c r="D14" s="14">
        <f>C14*0.2</f>
        <v>2.8000000000000003</v>
      </c>
      <c r="E14" s="14">
        <f>C14-D14</f>
        <v>11.2</v>
      </c>
      <c r="F14" s="14">
        <f>E14*1.3%</f>
        <v>0.14560000000000001</v>
      </c>
      <c r="G14" s="27">
        <f>E14*0.001</f>
        <v>1.12E-2</v>
      </c>
      <c r="H14" s="14">
        <f>E14*0.072</f>
        <v>0.80639999999999989</v>
      </c>
      <c r="I14" s="14">
        <f>E14*0.3</f>
        <v>3.36</v>
      </c>
      <c r="J14" s="14">
        <f>E14*0.06%</f>
        <v>6.7199999999999994E-3</v>
      </c>
      <c r="K14" s="14">
        <f>E14*5%</f>
        <v>0.55999999999999994</v>
      </c>
      <c r="L14" s="14">
        <v>0</v>
      </c>
      <c r="M14" s="14">
        <f>E14*51%</f>
        <v>5.7119999999999997</v>
      </c>
      <c r="N14" s="14">
        <f>E14*55%</f>
        <v>6.16</v>
      </c>
      <c r="O14" s="14">
        <f>E14*38%</f>
        <v>4.2559999999999993</v>
      </c>
      <c r="P14" s="14">
        <f>E14*0.7%</f>
        <v>7.8399999999999984E-2</v>
      </c>
      <c r="Q14" s="14">
        <v>60</v>
      </c>
      <c r="R14" s="26">
        <f>C14/1000*60</f>
        <v>0.84</v>
      </c>
    </row>
    <row r="15" spans="1:18" ht="18.75" x14ac:dyDescent="0.25">
      <c r="A15" s="25"/>
      <c r="B15" s="26" t="s">
        <v>37</v>
      </c>
      <c r="C15" s="14">
        <v>17</v>
      </c>
      <c r="D15" s="14">
        <f>C15*0.16</f>
        <v>2.72</v>
      </c>
      <c r="E15" s="14">
        <f>C15-D15</f>
        <v>14.28</v>
      </c>
      <c r="F15" s="14">
        <f>E15*1.4%</f>
        <v>0.19991999999999996</v>
      </c>
      <c r="G15" s="28">
        <v>0</v>
      </c>
      <c r="H15" s="14">
        <f>E15*9.1%</f>
        <v>1.29948</v>
      </c>
      <c r="I15" s="14">
        <f>E15*41%</f>
        <v>5.8547999999999991</v>
      </c>
      <c r="J15" s="14">
        <f>E15*0.05%</f>
        <v>7.1399999999999996E-3</v>
      </c>
      <c r="K15" s="14">
        <f>E15*10%</f>
        <v>1.4279999999999999</v>
      </c>
      <c r="L15" s="14">
        <v>0</v>
      </c>
      <c r="M15" s="14">
        <f>E15*31%</f>
        <v>4.4268000000000001</v>
      </c>
      <c r="N15" s="14">
        <f>E15*58%</f>
        <v>8.2823999999999991</v>
      </c>
      <c r="O15" s="14">
        <f>E15*14%</f>
        <v>1.9992000000000001</v>
      </c>
      <c r="P15" s="14">
        <f>E15*0.8%</f>
        <v>0.11423999999999999</v>
      </c>
      <c r="Q15" s="14">
        <v>40</v>
      </c>
      <c r="R15" s="14">
        <f>C15/1000*40</f>
        <v>0.68</v>
      </c>
    </row>
    <row r="16" spans="1:18" ht="18.75" x14ac:dyDescent="0.25">
      <c r="A16" s="22"/>
      <c r="B16" s="26" t="s">
        <v>20</v>
      </c>
      <c r="C16" s="14">
        <v>10</v>
      </c>
      <c r="D16" s="14">
        <v>0</v>
      </c>
      <c r="E16" s="14">
        <f>C16-D16</f>
        <v>10</v>
      </c>
      <c r="F16" s="14">
        <f>E16*0.5%</f>
        <v>0.05</v>
      </c>
      <c r="G16" s="14">
        <f>E16*82.5%</f>
        <v>8.25</v>
      </c>
      <c r="H16" s="14">
        <f>E16*0.8%</f>
        <v>0.08</v>
      </c>
      <c r="I16" s="14">
        <f>E16*748%</f>
        <v>74.800000000000011</v>
      </c>
      <c r="J16" s="14">
        <v>0</v>
      </c>
      <c r="K16" s="14">
        <v>0</v>
      </c>
      <c r="L16" s="14">
        <f>E16*0.59%</f>
        <v>5.8999999999999997E-2</v>
      </c>
      <c r="M16" s="14">
        <f>E16*12%</f>
        <v>1.2</v>
      </c>
      <c r="N16" s="14">
        <f>E16*19%</f>
        <v>1.9</v>
      </c>
      <c r="O16" s="14">
        <f>E16*0.4%</f>
        <v>0.04</v>
      </c>
      <c r="P16" s="14">
        <f>E16*0.2%</f>
        <v>0.02</v>
      </c>
      <c r="Q16" s="14">
        <v>480</v>
      </c>
      <c r="R16" s="29">
        <f>C16/1000*480</f>
        <v>4.8</v>
      </c>
    </row>
    <row r="17" spans="1:18" x14ac:dyDescent="0.25">
      <c r="A17" s="30"/>
      <c r="B17" s="14" t="s">
        <v>38</v>
      </c>
      <c r="C17" s="14">
        <v>3</v>
      </c>
      <c r="D17" s="14">
        <v>0</v>
      </c>
      <c r="E17" s="14">
        <f>SUM(C17:D17)</f>
        <v>3</v>
      </c>
      <c r="F17" s="14">
        <f>E17*1%</f>
        <v>0.03</v>
      </c>
      <c r="G17" s="14">
        <v>0</v>
      </c>
      <c r="H17" s="14">
        <f>E17*3.5%</f>
        <v>0.10500000000000001</v>
      </c>
      <c r="I17" s="14">
        <f>E17*19%</f>
        <v>0.57000000000000006</v>
      </c>
      <c r="J17" s="14">
        <f>E17*0.03%</f>
        <v>8.9999999999999998E-4</v>
      </c>
      <c r="K17" s="14">
        <f>E17*10%</f>
        <v>0.30000000000000004</v>
      </c>
      <c r="L17" s="14">
        <v>0</v>
      </c>
      <c r="M17" s="14">
        <f>C17*7%</f>
        <v>0.21000000000000002</v>
      </c>
      <c r="N17" s="14">
        <f>E17*32%</f>
        <v>0.96</v>
      </c>
      <c r="O17" s="14">
        <f>E17*12%</f>
        <v>0.36</v>
      </c>
      <c r="P17" s="14">
        <f>E17*0.7%</f>
        <v>2.0999999999999998E-2</v>
      </c>
      <c r="Q17" s="14">
        <v>150</v>
      </c>
      <c r="R17" s="14">
        <f>C17/1000*150</f>
        <v>0.45</v>
      </c>
    </row>
    <row r="18" spans="1:18" ht="18.75" x14ac:dyDescent="0.25">
      <c r="A18" s="25"/>
      <c r="B18" s="26" t="s">
        <v>39</v>
      </c>
      <c r="C18" s="14">
        <v>40</v>
      </c>
      <c r="D18" s="14">
        <v>0</v>
      </c>
      <c r="E18" s="14">
        <f>C18-D18</f>
        <v>40</v>
      </c>
      <c r="F18" s="14">
        <f>E18*23%</f>
        <v>9.2000000000000011</v>
      </c>
      <c r="G18" s="14">
        <f>E18*1.6%</f>
        <v>0.64</v>
      </c>
      <c r="H18" s="14">
        <f>E18*50.8%</f>
        <v>20.32</v>
      </c>
      <c r="I18" s="14">
        <f>E18*314%</f>
        <v>125.60000000000001</v>
      </c>
      <c r="J18" s="14">
        <f>E18*0.9%</f>
        <v>0.36000000000000004</v>
      </c>
      <c r="K18" s="14">
        <v>0</v>
      </c>
      <c r="L18" s="14">
        <v>0</v>
      </c>
      <c r="M18" s="14">
        <f>E18*89%</f>
        <v>35.6</v>
      </c>
      <c r="N18" s="14">
        <f>E18*226%</f>
        <v>90.399999999999991</v>
      </c>
      <c r="O18" s="14">
        <f>E18*88%</f>
        <v>35.200000000000003</v>
      </c>
      <c r="P18" s="14">
        <f>E18*7%</f>
        <v>2.8000000000000003</v>
      </c>
      <c r="Q18" s="14">
        <v>60</v>
      </c>
      <c r="R18" s="29">
        <f>C18/1000*60</f>
        <v>2.4</v>
      </c>
    </row>
    <row r="19" spans="1:18" ht="18.75" x14ac:dyDescent="0.25">
      <c r="A19" s="31"/>
      <c r="B19" s="32" t="s">
        <v>21</v>
      </c>
      <c r="C19" s="33">
        <f>C18+C16+C15+C14+C13</f>
        <v>123</v>
      </c>
      <c r="D19" s="33">
        <f t="shared" ref="D19:P19" si="1">SUM(D13:D18)</f>
        <v>16.02</v>
      </c>
      <c r="E19" s="33">
        <v>250</v>
      </c>
      <c r="F19" s="33">
        <f t="shared" si="1"/>
        <v>10.255520000000001</v>
      </c>
      <c r="G19" s="33">
        <f t="shared" si="1"/>
        <v>9.0272000000000006</v>
      </c>
      <c r="H19" s="33">
        <f t="shared" si="1"/>
        <v>27.745380000000001</v>
      </c>
      <c r="I19" s="33">
        <f t="shared" si="1"/>
        <v>235.38480000000001</v>
      </c>
      <c r="J19" s="33">
        <f t="shared" si="1"/>
        <v>0.41256000000000004</v>
      </c>
      <c r="K19" s="33">
        <f t="shared" si="1"/>
        <v>8.588000000000001</v>
      </c>
      <c r="L19" s="33">
        <f t="shared" si="1"/>
        <v>5.8999999999999997E-2</v>
      </c>
      <c r="M19" s="33">
        <f t="shared" si="1"/>
        <v>50.2988</v>
      </c>
      <c r="N19" s="33">
        <f t="shared" si="1"/>
        <v>125.97239999999999</v>
      </c>
      <c r="O19" s="33">
        <f t="shared" si="1"/>
        <v>49.100200000000001</v>
      </c>
      <c r="P19" s="33">
        <f t="shared" si="1"/>
        <v>3.3171400000000002</v>
      </c>
      <c r="Q19" s="33"/>
      <c r="R19" s="33">
        <f>SUM(R12:R18)</f>
        <v>40.064</v>
      </c>
    </row>
    <row r="20" spans="1:18" ht="21" x14ac:dyDescent="0.35">
      <c r="A20" s="7"/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</row>
    <row r="21" spans="1:18" ht="18.75" x14ac:dyDescent="0.3">
      <c r="A21" s="7"/>
      <c r="B21" s="6" t="s">
        <v>21</v>
      </c>
      <c r="C21" s="4">
        <v>50</v>
      </c>
      <c r="D21" s="4">
        <v>0</v>
      </c>
      <c r="E21" s="4">
        <f>C21-D21</f>
        <v>50</v>
      </c>
      <c r="F21" s="4">
        <f>E21*7.9%</f>
        <v>3.95</v>
      </c>
      <c r="G21" s="4">
        <f>E21*1%</f>
        <v>0.5</v>
      </c>
      <c r="H21" s="4">
        <f>E21*48.1%</f>
        <v>24.05</v>
      </c>
      <c r="I21" s="4">
        <f>E21*239%</f>
        <v>119.5</v>
      </c>
      <c r="J21" s="4">
        <f>E21*0.16%</f>
        <v>0.08</v>
      </c>
      <c r="K21" s="4">
        <v>0</v>
      </c>
      <c r="L21" s="4">
        <v>0</v>
      </c>
      <c r="M21" s="4">
        <f>E21*23%</f>
        <v>11.5</v>
      </c>
      <c r="N21" s="4">
        <f>E21*87%</f>
        <v>43.5</v>
      </c>
      <c r="O21" s="4">
        <f>E21*33%</f>
        <v>16.5</v>
      </c>
      <c r="P21" s="4">
        <f>E21*2%</f>
        <v>1</v>
      </c>
      <c r="Q21" s="4">
        <v>50</v>
      </c>
      <c r="R21" s="34">
        <f>C21/1000*50</f>
        <v>2.5</v>
      </c>
    </row>
    <row r="22" spans="1:18" ht="21" x14ac:dyDescent="0.35">
      <c r="A22" s="21"/>
      <c r="B22" s="45" t="s">
        <v>23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4"/>
    </row>
    <row r="23" spans="1:18" ht="18.75" x14ac:dyDescent="0.3">
      <c r="A23" s="7"/>
      <c r="B23" s="35" t="s">
        <v>24</v>
      </c>
      <c r="C23" s="35">
        <v>15</v>
      </c>
      <c r="D23" s="35">
        <v>0</v>
      </c>
      <c r="E23" s="35">
        <v>15</v>
      </c>
      <c r="F23" s="35">
        <f>E23*5.2%</f>
        <v>0.78</v>
      </c>
      <c r="G23" s="35">
        <v>0</v>
      </c>
      <c r="H23" s="35">
        <f>E23*55%</f>
        <v>8.25</v>
      </c>
      <c r="I23" s="35">
        <f>E23*234%</f>
        <v>35.099999999999994</v>
      </c>
      <c r="J23" s="35">
        <f>E23*0.1%</f>
        <v>1.4999999999999999E-2</v>
      </c>
      <c r="K23" s="35">
        <f>E23*4%</f>
        <v>0.6</v>
      </c>
      <c r="L23" s="35">
        <v>0</v>
      </c>
      <c r="M23" s="35">
        <f>E23*160%</f>
        <v>24</v>
      </c>
      <c r="N23" s="35">
        <f>E23*146%</f>
        <v>21.9</v>
      </c>
      <c r="O23" s="35">
        <f>E23*105%</f>
        <v>15.75</v>
      </c>
      <c r="P23" s="35">
        <f>E23*3.2%</f>
        <v>0.48</v>
      </c>
      <c r="Q23" s="35">
        <v>350</v>
      </c>
      <c r="R23" s="35">
        <f>C23/1000*350</f>
        <v>5.25</v>
      </c>
    </row>
    <row r="24" spans="1:18" ht="18.75" x14ac:dyDescent="0.3">
      <c r="A24" s="7"/>
      <c r="B24" s="35" t="s">
        <v>25</v>
      </c>
      <c r="C24" s="35">
        <v>10</v>
      </c>
      <c r="D24" s="35">
        <v>0</v>
      </c>
      <c r="E24" s="35">
        <v>10</v>
      </c>
      <c r="F24" s="35">
        <v>0</v>
      </c>
      <c r="G24" s="35">
        <v>0</v>
      </c>
      <c r="H24" s="35">
        <f>E24*99.8%</f>
        <v>9.98</v>
      </c>
      <c r="I24" s="35">
        <f>E24*379%</f>
        <v>37.9</v>
      </c>
      <c r="J24" s="35">
        <v>0</v>
      </c>
      <c r="K24" s="35">
        <v>0</v>
      </c>
      <c r="L24" s="35">
        <v>0</v>
      </c>
      <c r="M24" s="35">
        <f>E24*2%</f>
        <v>0.2</v>
      </c>
      <c r="N24" s="35">
        <v>0</v>
      </c>
      <c r="O24" s="35">
        <v>0</v>
      </c>
      <c r="P24" s="35">
        <f>E24*0.3%</f>
        <v>0.03</v>
      </c>
      <c r="Q24" s="35">
        <v>60</v>
      </c>
      <c r="R24" s="3">
        <f>C24/1000*60</f>
        <v>0.6</v>
      </c>
    </row>
    <row r="25" spans="1:18" ht="18.75" x14ac:dyDescent="0.3">
      <c r="A25" s="7"/>
      <c r="B25" s="6" t="s">
        <v>21</v>
      </c>
      <c r="C25" s="4">
        <f>SUM(C23:C24)</f>
        <v>25</v>
      </c>
      <c r="D25" s="4">
        <f t="shared" ref="D25:P25" si="2">SUM(D23:D24)</f>
        <v>0</v>
      </c>
      <c r="E25" s="4">
        <v>150</v>
      </c>
      <c r="F25" s="4">
        <f t="shared" si="2"/>
        <v>0.78</v>
      </c>
      <c r="G25" s="4">
        <f t="shared" si="2"/>
        <v>0</v>
      </c>
      <c r="H25" s="4">
        <f t="shared" si="2"/>
        <v>18.23</v>
      </c>
      <c r="I25" s="4">
        <f t="shared" si="2"/>
        <v>73</v>
      </c>
      <c r="J25" s="4">
        <f t="shared" si="2"/>
        <v>1.4999999999999999E-2</v>
      </c>
      <c r="K25" s="4">
        <f t="shared" si="2"/>
        <v>0.6</v>
      </c>
      <c r="L25" s="4">
        <f t="shared" si="2"/>
        <v>0</v>
      </c>
      <c r="M25" s="4">
        <f t="shared" si="2"/>
        <v>24.2</v>
      </c>
      <c r="N25" s="4">
        <f t="shared" si="2"/>
        <v>21.9</v>
      </c>
      <c r="O25" s="4">
        <f t="shared" si="2"/>
        <v>15.75</v>
      </c>
      <c r="P25" s="4">
        <f t="shared" si="2"/>
        <v>0.51</v>
      </c>
      <c r="Q25" s="4"/>
      <c r="R25" s="34">
        <f>SUM(R23:R24)</f>
        <v>5.85</v>
      </c>
    </row>
    <row r="26" spans="1:18" ht="21" x14ac:dyDescent="0.35">
      <c r="A26" s="5"/>
      <c r="B26" s="45" t="s">
        <v>40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8" ht="18.75" x14ac:dyDescent="0.3">
      <c r="A27" s="5"/>
      <c r="B27" s="6" t="s">
        <v>21</v>
      </c>
      <c r="C27" s="4">
        <v>120</v>
      </c>
      <c r="D27" s="4">
        <v>0</v>
      </c>
      <c r="E27" s="4">
        <f>C27-D27</f>
        <v>120</v>
      </c>
      <c r="F27" s="4">
        <f>E27*0.08%</f>
        <v>9.6000000000000002E-2</v>
      </c>
      <c r="G27" s="4">
        <v>0</v>
      </c>
      <c r="H27" s="4">
        <f>E27*9.6%</f>
        <v>11.52</v>
      </c>
      <c r="I27" s="4">
        <f>E27*43%</f>
        <v>51.6</v>
      </c>
      <c r="J27" s="4">
        <f>E27*0.06%</f>
        <v>7.1999999999999995E-2</v>
      </c>
      <c r="K27" s="4">
        <f>E27*10%</f>
        <v>12</v>
      </c>
      <c r="L27" s="4">
        <v>0</v>
      </c>
      <c r="M27" s="4">
        <f>E27*20%</f>
        <v>24</v>
      </c>
      <c r="N27" s="4">
        <f>E27*20%</f>
        <v>24</v>
      </c>
      <c r="O27" s="4">
        <f>E27*9%</f>
        <v>10.799999999999999</v>
      </c>
      <c r="P27" s="4">
        <f>E27*0.5%</f>
        <v>0.6</v>
      </c>
      <c r="Q27" s="4">
        <v>63</v>
      </c>
      <c r="R27" s="4">
        <f>C27/1000*63</f>
        <v>7.56</v>
      </c>
    </row>
    <row r="28" spans="1:18" ht="21" x14ac:dyDescent="0.35">
      <c r="A28" s="7"/>
      <c r="B28" s="48" t="s">
        <v>28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</row>
    <row r="29" spans="1:18" ht="18.75" x14ac:dyDescent="0.3">
      <c r="A29" s="7"/>
      <c r="B29" s="6" t="s">
        <v>21</v>
      </c>
      <c r="C29" s="4">
        <v>3</v>
      </c>
      <c r="D29" s="4">
        <v>0</v>
      </c>
      <c r="E29" s="4">
        <f>C29-D29</f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20</v>
      </c>
      <c r="R29" s="4">
        <f>C29/1000*20</f>
        <v>0.06</v>
      </c>
    </row>
    <row r="30" spans="1:18" ht="18.75" x14ac:dyDescent="0.3">
      <c r="A30" s="7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3.25" x14ac:dyDescent="0.35">
      <c r="A31" s="7"/>
      <c r="B31" s="8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>
        <f>R29+R27+R25+R21+R19+R10</f>
        <v>60.984000000000002</v>
      </c>
    </row>
  </sheetData>
  <mergeCells count="25">
    <mergeCell ref="B11:R11"/>
    <mergeCell ref="Q2:Q4"/>
    <mergeCell ref="G2:G4"/>
    <mergeCell ref="H2:H4"/>
    <mergeCell ref="B26:R26"/>
    <mergeCell ref="B28:R28"/>
    <mergeCell ref="P3:P4"/>
    <mergeCell ref="B2:B3"/>
    <mergeCell ref="D2:D4"/>
    <mergeCell ref="E2:E4"/>
    <mergeCell ref="C3:C4"/>
    <mergeCell ref="B20:R20"/>
    <mergeCell ref="J3:J4"/>
    <mergeCell ref="A5:R5"/>
    <mergeCell ref="F2:F4"/>
    <mergeCell ref="L3:L4"/>
    <mergeCell ref="M3:M4"/>
    <mergeCell ref="N3:N4"/>
    <mergeCell ref="O3:O4"/>
    <mergeCell ref="B22:R22"/>
    <mergeCell ref="I2:I4"/>
    <mergeCell ref="J2:L2"/>
    <mergeCell ref="M2:P2"/>
    <mergeCell ref="R2:R4"/>
    <mergeCell ref="K3:K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2022-04-06T08:34:19Z</dcterms:modified>
</cp:coreProperties>
</file>