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9" i="1" l="1"/>
  <c r="E29" i="1"/>
  <c r="R27" i="1"/>
  <c r="E27" i="1"/>
  <c r="N27" i="1" s="1"/>
  <c r="R25" i="1"/>
  <c r="P25" i="1"/>
  <c r="N25" i="1"/>
  <c r="J25" i="1"/>
  <c r="H25" i="1"/>
  <c r="F25" i="1"/>
  <c r="E25" i="1"/>
  <c r="L25" i="1" s="1"/>
  <c r="M25" i="1"/>
  <c r="O23" i="1"/>
  <c r="N23" i="1"/>
  <c r="L23" i="1"/>
  <c r="K23" i="1"/>
  <c r="J23" i="1"/>
  <c r="G23" i="1"/>
  <c r="F23" i="1"/>
  <c r="D23" i="1"/>
  <c r="R22" i="1"/>
  <c r="P22" i="1"/>
  <c r="P23" i="1"/>
  <c r="M22" i="1"/>
  <c r="M23" i="1" s="1"/>
  <c r="I22" i="1"/>
  <c r="I23" i="1" s="1"/>
  <c r="H22" i="1"/>
  <c r="H23" i="1"/>
  <c r="R21" i="1"/>
  <c r="R23" i="1" s="1"/>
  <c r="E21" i="1"/>
  <c r="G21" i="1" s="1"/>
  <c r="P21" i="1"/>
  <c r="R19" i="1"/>
  <c r="P19" i="1"/>
  <c r="O19" i="1"/>
  <c r="N19" i="1"/>
  <c r="M19" i="1"/>
  <c r="J19" i="1"/>
  <c r="I19" i="1"/>
  <c r="H19" i="1"/>
  <c r="G19" i="1"/>
  <c r="F19" i="1"/>
  <c r="L17" i="1"/>
  <c r="C17" i="1"/>
  <c r="R16" i="1"/>
  <c r="E16" i="1"/>
  <c r="G16" i="1"/>
  <c r="R15" i="1"/>
  <c r="J15" i="1"/>
  <c r="E15" i="1"/>
  <c r="G15" i="1" s="1"/>
  <c r="I15" i="1"/>
  <c r="R14" i="1"/>
  <c r="D14" i="1"/>
  <c r="E14" i="1"/>
  <c r="P14" i="1" s="1"/>
  <c r="R13" i="1"/>
  <c r="E13" i="1"/>
  <c r="M13" i="1" s="1"/>
  <c r="D13" i="1"/>
  <c r="R12" i="1"/>
  <c r="R17" i="1"/>
  <c r="D12" i="1"/>
  <c r="E12" i="1"/>
  <c r="O12" i="1" s="1"/>
  <c r="C10" i="1"/>
  <c r="R9" i="1"/>
  <c r="E9" i="1"/>
  <c r="M9" i="1" s="1"/>
  <c r="N9" i="1"/>
  <c r="R8" i="1"/>
  <c r="D8" i="1"/>
  <c r="E8" i="1" s="1"/>
  <c r="R7" i="1"/>
  <c r="D7" i="1"/>
  <c r="E7" i="1" s="1"/>
  <c r="R6" i="1"/>
  <c r="R10" i="1" s="1"/>
  <c r="P6" i="1"/>
  <c r="O6" i="1"/>
  <c r="N6" i="1"/>
  <c r="M6" i="1"/>
  <c r="L6" i="1"/>
  <c r="J6" i="1"/>
  <c r="I6" i="1"/>
  <c r="H6" i="1"/>
  <c r="G6" i="1"/>
  <c r="F6" i="1"/>
  <c r="D6" i="1"/>
  <c r="D10" i="1" s="1"/>
  <c r="K14" i="1"/>
  <c r="G14" i="1"/>
  <c r="M14" i="1"/>
  <c r="N14" i="1"/>
  <c r="I14" i="1"/>
  <c r="O14" i="1"/>
  <c r="F14" i="1"/>
  <c r="N12" i="1"/>
  <c r="I12" i="1"/>
  <c r="J12" i="1"/>
  <c r="F12" i="1"/>
  <c r="E17" i="1"/>
  <c r="K12" i="1"/>
  <c r="G12" i="1"/>
  <c r="M12" i="1"/>
  <c r="M17" i="1" s="1"/>
  <c r="H12" i="1"/>
  <c r="G9" i="1"/>
  <c r="P13" i="1"/>
  <c r="K21" i="1"/>
  <c r="O21" i="1"/>
  <c r="H27" i="1"/>
  <c r="F9" i="1"/>
  <c r="L9" i="1"/>
  <c r="L10" i="1"/>
  <c r="J13" i="1"/>
  <c r="J16" i="1"/>
  <c r="F21" i="1"/>
  <c r="J21" i="1"/>
  <c r="G25" i="1"/>
  <c r="K25" i="1"/>
  <c r="O25" i="1"/>
  <c r="I9" i="1"/>
  <c r="O9" i="1"/>
  <c r="I16" i="1"/>
  <c r="D17" i="1"/>
  <c r="M21" i="1"/>
  <c r="O27" i="1"/>
  <c r="H9" i="1"/>
  <c r="H21" i="1"/>
  <c r="L21" i="1"/>
  <c r="I25" i="1"/>
  <c r="J17" i="1" l="1"/>
  <c r="I17" i="1"/>
  <c r="R31" i="1"/>
  <c r="N10" i="1"/>
  <c r="I7" i="1"/>
  <c r="N7" i="1"/>
  <c r="M7" i="1"/>
  <c r="F7" i="1"/>
  <c r="F10" i="1" s="1"/>
  <c r="P7" i="1"/>
  <c r="E10" i="1"/>
  <c r="O7" i="1"/>
  <c r="O10" i="1" s="1"/>
  <c r="H7" i="1"/>
  <c r="K7" i="1"/>
  <c r="J7" i="1"/>
  <c r="O17" i="1"/>
  <c r="J10" i="1"/>
  <c r="O8" i="1"/>
  <c r="N8" i="1"/>
  <c r="M8" i="1"/>
  <c r="K8" i="1"/>
  <c r="P8" i="1"/>
  <c r="F8" i="1"/>
  <c r="H8" i="1"/>
  <c r="G8" i="1"/>
  <c r="G10" i="1" s="1"/>
  <c r="J8" i="1"/>
  <c r="I8" i="1"/>
  <c r="I10" i="1" s="1"/>
  <c r="J27" i="1"/>
  <c r="P27" i="1"/>
  <c r="F13" i="1"/>
  <c r="F17" i="1" s="1"/>
  <c r="K13" i="1"/>
  <c r="K17" i="1" s="1"/>
  <c r="N13" i="1"/>
  <c r="N17" i="1" s="1"/>
  <c r="K27" i="1"/>
  <c r="G13" i="1"/>
  <c r="G17" i="1" s="1"/>
  <c r="I27" i="1"/>
  <c r="H13" i="1"/>
  <c r="H17" i="1" s="1"/>
  <c r="I21" i="1"/>
  <c r="I13" i="1"/>
  <c r="F27" i="1"/>
  <c r="N21" i="1"/>
  <c r="O13" i="1"/>
  <c r="P9" i="1"/>
  <c r="M27" i="1"/>
  <c r="P12" i="1"/>
  <c r="P17" i="1" s="1"/>
  <c r="J14" i="1"/>
  <c r="H14" i="1"/>
  <c r="H10" i="1" l="1"/>
  <c r="M10" i="1"/>
  <c r="K10" i="1"/>
  <c r="P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<sst xmlns="http://schemas.openxmlformats.org/spreadsheetml/2006/main" count="48" uniqueCount="40">
  <si>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</si>
  <si>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</si>
  <si>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</si>
  <si>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</si>
  <si>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</si>
  <si>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</si>
  <si>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</si>
  <si>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</si>
  <si>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</si>
  <si>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</si>
  <si>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</si>
  <si>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</si>
  <si>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</si>
  <si>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</si>
  <si>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</si>
  <si>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</si>
  <si>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</si>
  <si>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</si>
  <si>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</si>
  <si>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</si>
  <si>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</si>
  <si>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</si>
  <si>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 xml:space="preserve">курица </t>
  </si>
  <si>
    <t>3.хлеб</t>
  </si>
  <si>
    <t>сахар</t>
  </si>
  <si>
    <t>5.печенье</t>
  </si>
  <si>
    <t>7.соль</t>
  </si>
  <si>
    <t>всего грамм</t>
  </si>
  <si>
    <t>1.запеканка картофельная с куриным филе</t>
  </si>
  <si>
    <t>лук</t>
  </si>
  <si>
    <t>картофель</t>
  </si>
  <si>
    <t>2.салат овощной</t>
  </si>
  <si>
    <t>морковь</t>
  </si>
  <si>
    <t>свекла</t>
  </si>
  <si>
    <t>зел.горох</t>
  </si>
  <si>
    <t>растит. масло</t>
  </si>
  <si>
    <t>4.чай</t>
  </si>
  <si>
    <t>чай</t>
  </si>
  <si>
    <t xml:space="preserve">6.слива 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</si>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</sst>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7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10" fillId="0" borderId="1" xfId="0" applyNumberFormat="1" applyFont="1" applyBorder="1"/>
    <xf numFmtId="2" fontId="13" fillId="0" borderId="1" xfId="0" applyNumberFormat="1" applyFont="1" applyBorder="1"/>
    <xf numFmtId="0" fontId="2" fillId="2" borderId="2" xfId="0" applyFont="1" applyFill="1" applyBorder="1" applyAlignment="1"/>
    <xf numFmtId="0" fontId="6" fillId="0" borderId="1" xfId="1" applyNumberFormat="1" applyFont="1" applyFill="1" applyBorder="1" applyAlignment="1" applyProtection="1">
      <alignment horizontal="left" vertical="top" wrapText="1"/>
    </xf>
    <xf numFmtId="164" fontId="0" fillId="0" borderId="1" xfId="0" applyNumberFormat="1" applyBorder="1"/>
    <xf numFmtId="0" fontId="17" fillId="2" borderId="1" xfId="1" applyNumberFormat="1" applyFont="1" applyFill="1" applyBorder="1" applyAlignment="1" applyProtection="1">
      <alignment vertical="center" wrapText="1"/>
    </xf>
    <xf numFmtId="2" fontId="7" fillId="0" borderId="3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2" fontId="11" fillId="0" borderId="1" xfId="0" applyNumberFormat="1" applyFont="1" applyBorder="1"/>
    <xf numFmtId="14" fontId="4" fillId="0" borderId="2" xfId="1" applyNumberFormat="1" applyFont="1" applyFill="1" applyBorder="1" applyAlignment="1" applyProtection="1">
      <alignment horizontal="left" vertical="top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top" wrapText="1"/>
    </xf>
    <xf numFmtId="0" fontId="14" fillId="2" borderId="3" xfId="1" applyNumberFormat="1" applyFont="1" applyFill="1" applyBorder="1" applyAlignment="1" applyProtection="1">
      <alignment horizontal="center" vertical="top" wrapText="1"/>
    </xf>
    <xf numFmtId="0" fontId="14" fillId="2" borderId="7" xfId="1" applyNumberFormat="1" applyFont="1" applyFill="1" applyBorder="1" applyAlignment="1" applyProtection="1">
      <alignment horizontal="center" vertical="top" wrapText="1"/>
    </xf>
    <xf numFmtId="0" fontId="15" fillId="2" borderId="2" xfId="1" applyNumberFormat="1" applyFont="1" applyFill="1" applyBorder="1" applyAlignment="1" applyProtection="1">
      <alignment horizontal="center" vertical="top"/>
    </xf>
    <xf numFmtId="0" fontId="15" fillId="2" borderId="3" xfId="1" applyNumberFormat="1" applyFont="1" applyFill="1" applyBorder="1" applyAlignment="1" applyProtection="1">
      <alignment horizontal="center" vertical="top"/>
    </xf>
    <xf numFmtId="0" fontId="15" fillId="2" borderId="7" xfId="1" applyNumberFormat="1" applyFont="1" applyFill="1" applyBorder="1" applyAlignment="1" applyProtection="1">
      <alignment horizontal="center" vertical="top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7" xfId="1" applyNumberFormat="1" applyFont="1" applyFill="1" applyBorder="1" applyAlignment="1" applyProtection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top" wrapText="1"/>
    </xf>
    <xf numFmtId="0" fontId="16" fillId="0" borderId="5" xfId="1" applyNumberFormat="1" applyFont="1" applyFill="1" applyBorder="1" applyAlignment="1" applyProtection="1">
      <alignment horizontal="center" vertical="top" wrapText="1"/>
    </xf>
    <xf numFmtId="0" fontId="16" fillId="0" borderId="6" xfId="1" applyNumberFormat="1" applyFont="1" applyFill="1" applyBorder="1" applyAlignment="1" applyProtection="1">
      <alignment horizontal="center" vertical="top" wrapText="1"/>
    </xf>
    <xf numFmtId="0" fontId="8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39</v>
      </c>
      <c r="C1" s="1"/>
      <c r="D1" s="1"/>
      <c r="E1" s="1"/>
      <c r="F1" s="1"/>
      <c r="G1" s="1"/>
      <c r="H1" s="1"/>
      <c r="I1" s="1" t="s">
        <v>1</v>
      </c>
      <c r="J1" s="2">
        <v>44601</v>
      </c>
    </row>
    <row r="2" spans="1:18" ht="18.75" customHeight="1" x14ac:dyDescent="0.25">
      <c r="A2" s="38"/>
      <c r="B2" s="40" t="s">
        <v>5</v>
      </c>
      <c r="C2" s="41" t="s">
        <v>27</v>
      </c>
      <c r="D2" s="44" t="s">
        <v>6</v>
      </c>
      <c r="E2" s="44" t="s">
        <v>7</v>
      </c>
      <c r="F2" s="22" t="s">
        <v>2</v>
      </c>
      <c r="G2" s="22" t="s">
        <v>3</v>
      </c>
      <c r="H2" s="22" t="s">
        <v>4</v>
      </c>
      <c r="I2" s="22" t="s">
        <v>8</v>
      </c>
      <c r="J2" s="34" t="s">
        <v>9</v>
      </c>
      <c r="K2" s="34"/>
      <c r="L2" s="34"/>
      <c r="M2" s="34" t="s">
        <v>10</v>
      </c>
      <c r="N2" s="34"/>
      <c r="O2" s="34"/>
      <c r="P2" s="34"/>
      <c r="Q2" s="51" t="s">
        <v>11</v>
      </c>
      <c r="R2" s="35" t="s">
        <v>12</v>
      </c>
    </row>
    <row r="3" spans="1:18" ht="15" customHeight="1" x14ac:dyDescent="0.25">
      <c r="A3" s="39"/>
      <c r="B3" s="40"/>
      <c r="C3" s="42"/>
      <c r="D3" s="45"/>
      <c r="E3" s="45"/>
      <c r="F3" s="33"/>
      <c r="G3" s="33"/>
      <c r="H3" s="33"/>
      <c r="I3" s="33"/>
      <c r="J3" s="22" t="s">
        <v>13</v>
      </c>
      <c r="K3" s="47" t="s">
        <v>14</v>
      </c>
      <c r="L3" s="22" t="s">
        <v>15</v>
      </c>
      <c r="M3" s="22" t="s">
        <v>16</v>
      </c>
      <c r="N3" s="22" t="s">
        <v>17</v>
      </c>
      <c r="O3" s="22" t="s">
        <v>18</v>
      </c>
      <c r="P3" s="22" t="s">
        <v>19</v>
      </c>
      <c r="Q3" s="52"/>
      <c r="R3" s="36"/>
    </row>
    <row r="4" spans="1:18" ht="18.75" x14ac:dyDescent="0.3">
      <c r="A4" s="13"/>
      <c r="B4" s="21">
        <v>44601</v>
      </c>
      <c r="C4" s="43"/>
      <c r="D4" s="46"/>
      <c r="E4" s="46"/>
      <c r="F4" s="23"/>
      <c r="G4" s="23"/>
      <c r="H4" s="23"/>
      <c r="I4" s="23"/>
      <c r="J4" s="23"/>
      <c r="K4" s="48"/>
      <c r="L4" s="23"/>
      <c r="M4" s="23"/>
      <c r="N4" s="23"/>
      <c r="O4" s="23"/>
      <c r="P4" s="23"/>
      <c r="Q4" s="53"/>
      <c r="R4" s="37"/>
    </row>
    <row r="5" spans="1:18" ht="20.25" x14ac:dyDescent="0.3">
      <c r="A5" s="13"/>
      <c r="B5" s="54" t="s">
        <v>28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18.75" x14ac:dyDescent="0.3">
      <c r="A6" s="10"/>
      <c r="B6" s="4" t="s">
        <v>22</v>
      </c>
      <c r="C6" s="5">
        <v>90</v>
      </c>
      <c r="D6" s="5">
        <f>C6*25%</f>
        <v>22.5</v>
      </c>
      <c r="E6" s="5">
        <v>75</v>
      </c>
      <c r="F6" s="5">
        <f>E6*18.2%</f>
        <v>13.65</v>
      </c>
      <c r="G6" s="5">
        <f>E6*18.4%</f>
        <v>13.799999999999999</v>
      </c>
      <c r="H6" s="5">
        <f>E6*0.7%</f>
        <v>0.52499999999999991</v>
      </c>
      <c r="I6" s="5">
        <f>E6*241%</f>
        <v>180.75</v>
      </c>
      <c r="J6" s="5">
        <f>E6*0.07%</f>
        <v>5.2500000000000005E-2</v>
      </c>
      <c r="K6" s="5">
        <v>0</v>
      </c>
      <c r="L6" s="5">
        <f>E6*0.07%</f>
        <v>5.2500000000000005E-2</v>
      </c>
      <c r="M6" s="5">
        <f>E6*16%</f>
        <v>12</v>
      </c>
      <c r="N6" s="5">
        <f>E6*165%</f>
        <v>123.75</v>
      </c>
      <c r="O6" s="5">
        <f>E6*18%</f>
        <v>13.5</v>
      </c>
      <c r="P6" s="5">
        <f>E6*1.6%</f>
        <v>1.2</v>
      </c>
      <c r="Q6" s="5">
        <v>270</v>
      </c>
      <c r="R6" s="5">
        <f>C6/1000*270</f>
        <v>24.3</v>
      </c>
    </row>
    <row r="7" spans="1:18" ht="18.75" x14ac:dyDescent="0.3">
      <c r="A7" s="3"/>
      <c r="B7" s="4" t="s">
        <v>29</v>
      </c>
      <c r="C7" s="5">
        <v>14</v>
      </c>
      <c r="D7" s="5">
        <f>C7*0.16</f>
        <v>2.2400000000000002</v>
      </c>
      <c r="E7" s="5">
        <f>C7-D7</f>
        <v>11.76</v>
      </c>
      <c r="F7" s="5">
        <f>E7*1.4%</f>
        <v>0.16463999999999998</v>
      </c>
      <c r="G7">
        <v>0</v>
      </c>
      <c r="H7" s="5">
        <f>E7*9.1%</f>
        <v>1.07016</v>
      </c>
      <c r="I7" s="5">
        <f>E7*41%</f>
        <v>4.8215999999999992</v>
      </c>
      <c r="J7" s="5">
        <f>E7*0.05%</f>
        <v>5.8799999999999998E-3</v>
      </c>
      <c r="K7" s="5">
        <f>E7*10%</f>
        <v>1.1759999999999999</v>
      </c>
      <c r="L7" s="5">
        <v>0</v>
      </c>
      <c r="M7" s="5">
        <f>E7*31%</f>
        <v>3.6456</v>
      </c>
      <c r="N7" s="5">
        <f>E7*58%</f>
        <v>6.8207999999999993</v>
      </c>
      <c r="O7" s="5">
        <f>E7*14%</f>
        <v>1.6464000000000001</v>
      </c>
      <c r="P7" s="5">
        <f>E7*0.8%</f>
        <v>9.4079999999999997E-2</v>
      </c>
      <c r="Q7" s="5">
        <v>40</v>
      </c>
      <c r="R7" s="5">
        <f>C7/1000*40</f>
        <v>0.56000000000000005</v>
      </c>
    </row>
    <row r="8" spans="1:18" ht="18.75" x14ac:dyDescent="0.3">
      <c r="A8" s="8"/>
      <c r="B8" s="4" t="s">
        <v>30</v>
      </c>
      <c r="C8" s="5">
        <v>90</v>
      </c>
      <c r="D8" s="5">
        <f>C8*0.25</f>
        <v>22.5</v>
      </c>
      <c r="E8" s="5">
        <f>C8-D8</f>
        <v>67.5</v>
      </c>
      <c r="F8" s="5">
        <f>E8*2%</f>
        <v>1.35</v>
      </c>
      <c r="G8" s="5">
        <f>E8*0.4%</f>
        <v>0.27</v>
      </c>
      <c r="H8" s="5">
        <f>E8*16.3%</f>
        <v>11.002500000000001</v>
      </c>
      <c r="I8" s="5">
        <f>E8*80%</f>
        <v>54</v>
      </c>
      <c r="J8" s="5">
        <f>E8*0.12%</f>
        <v>8.0999999999999989E-2</v>
      </c>
      <c r="K8" s="5">
        <f>E8*20%</f>
        <v>13.5</v>
      </c>
      <c r="L8" s="5">
        <v>0</v>
      </c>
      <c r="M8" s="5">
        <f>E8*10%</f>
        <v>6.75</v>
      </c>
      <c r="N8" s="5">
        <f>E8*58%</f>
        <v>39.15</v>
      </c>
      <c r="O8" s="5">
        <f>E8*23%</f>
        <v>15.525</v>
      </c>
      <c r="P8" s="5">
        <f>E8*0.9%</f>
        <v>0.60750000000000004</v>
      </c>
      <c r="Q8" s="5">
        <v>57</v>
      </c>
      <c r="R8" s="5">
        <f>C8/1000*57</f>
        <v>5.13</v>
      </c>
    </row>
    <row r="9" spans="1:18" ht="18.75" x14ac:dyDescent="0.3">
      <c r="A9" s="8"/>
      <c r="B9" s="4" t="s">
        <v>20</v>
      </c>
      <c r="C9" s="5">
        <v>10</v>
      </c>
      <c r="D9" s="5">
        <v>0</v>
      </c>
      <c r="E9" s="5">
        <f>C9-D9</f>
        <v>10</v>
      </c>
      <c r="F9" s="5">
        <f>E9*0.5%</f>
        <v>0.05</v>
      </c>
      <c r="G9" s="5">
        <f>E9*82.5%</f>
        <v>8.25</v>
      </c>
      <c r="H9" s="5">
        <f>E9*0.8%</f>
        <v>0.08</v>
      </c>
      <c r="I9" s="5">
        <f>E9*748%</f>
        <v>74.800000000000011</v>
      </c>
      <c r="J9" s="5">
        <v>0</v>
      </c>
      <c r="K9" s="5">
        <v>0</v>
      </c>
      <c r="L9" s="5">
        <f>E9*0.59%</f>
        <v>5.8999999999999997E-2</v>
      </c>
      <c r="M9" s="5">
        <f>E9*12%</f>
        <v>1.2</v>
      </c>
      <c r="N9" s="5">
        <f>E9*19%</f>
        <v>1.9</v>
      </c>
      <c r="O9" s="5">
        <f>E9*0.4%</f>
        <v>0.04</v>
      </c>
      <c r="P9" s="5">
        <f>E9*0.2%</f>
        <v>0.02</v>
      </c>
      <c r="Q9" s="5">
        <v>480</v>
      </c>
      <c r="R9" s="6">
        <f>C9/1000*480</f>
        <v>4.8</v>
      </c>
    </row>
    <row r="10" spans="1:18" ht="18.75" x14ac:dyDescent="0.3">
      <c r="A10" s="3"/>
      <c r="B10" s="14" t="s">
        <v>21</v>
      </c>
      <c r="C10" s="7">
        <f t="shared" ref="C10:P10" si="0">SUM(C6:C9)</f>
        <v>204</v>
      </c>
      <c r="D10" s="7">
        <f t="shared" si="0"/>
        <v>47.24</v>
      </c>
      <c r="E10" s="7">
        <f t="shared" si="0"/>
        <v>164.26</v>
      </c>
      <c r="F10" s="7">
        <f t="shared" si="0"/>
        <v>15.214640000000001</v>
      </c>
      <c r="G10" s="7">
        <f t="shared" si="0"/>
        <v>22.32</v>
      </c>
      <c r="H10" s="7">
        <f t="shared" si="0"/>
        <v>12.677660000000001</v>
      </c>
      <c r="I10" s="7">
        <f t="shared" si="0"/>
        <v>314.3716</v>
      </c>
      <c r="J10" s="7">
        <f t="shared" si="0"/>
        <v>0.13938</v>
      </c>
      <c r="K10" s="7">
        <f t="shared" si="0"/>
        <v>14.676</v>
      </c>
      <c r="L10" s="7">
        <f t="shared" si="0"/>
        <v>0.1115</v>
      </c>
      <c r="M10" s="7">
        <f t="shared" si="0"/>
        <v>23.595600000000001</v>
      </c>
      <c r="N10" s="7">
        <f t="shared" si="0"/>
        <v>171.6208</v>
      </c>
      <c r="O10" s="7">
        <f t="shared" si="0"/>
        <v>30.711399999999998</v>
      </c>
      <c r="P10" s="7">
        <f t="shared" si="0"/>
        <v>1.9215800000000001</v>
      </c>
      <c r="Q10" s="7"/>
      <c r="R10" s="7">
        <f>SUM(R6:R9)</f>
        <v>34.79</v>
      </c>
    </row>
    <row r="11" spans="1:18" ht="21" x14ac:dyDescent="0.35">
      <c r="A11" s="10"/>
      <c r="B11" s="57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</row>
    <row r="12" spans="1:18" ht="18.75" x14ac:dyDescent="0.3">
      <c r="A12" s="10"/>
      <c r="B12" s="4" t="s">
        <v>30</v>
      </c>
      <c r="C12" s="5">
        <v>25</v>
      </c>
      <c r="D12" s="5">
        <f>C12*0.25</f>
        <v>6.25</v>
      </c>
      <c r="E12" s="5">
        <f>C12-D12</f>
        <v>18.75</v>
      </c>
      <c r="F12" s="5">
        <f>E12*2%</f>
        <v>0.375</v>
      </c>
      <c r="G12" s="5">
        <f>E12*0.4%</f>
        <v>7.4999999999999997E-2</v>
      </c>
      <c r="H12" s="5">
        <f>E12*16.3%</f>
        <v>3.0562499999999999</v>
      </c>
      <c r="I12" s="5">
        <f>E12*80%</f>
        <v>15</v>
      </c>
      <c r="J12" s="5">
        <f>E12*0.12%</f>
        <v>2.2499999999999999E-2</v>
      </c>
      <c r="K12" s="5">
        <f>E12*20%</f>
        <v>3.75</v>
      </c>
      <c r="L12" s="5">
        <v>0</v>
      </c>
      <c r="M12" s="5">
        <f>E12*10%</f>
        <v>1.875</v>
      </c>
      <c r="N12" s="5">
        <f>E12*58%</f>
        <v>10.875</v>
      </c>
      <c r="O12" s="5">
        <f>E12*23%</f>
        <v>4.3125</v>
      </c>
      <c r="P12" s="5">
        <f>E12*0.9%</f>
        <v>0.16875000000000001</v>
      </c>
      <c r="Q12" s="5">
        <v>57</v>
      </c>
      <c r="R12" s="5">
        <f>C12/1000*57</f>
        <v>1.425</v>
      </c>
    </row>
    <row r="13" spans="1:18" ht="18.75" x14ac:dyDescent="0.3">
      <c r="A13" s="10"/>
      <c r="B13" s="4" t="s">
        <v>32</v>
      </c>
      <c r="C13" s="5">
        <v>25</v>
      </c>
      <c r="D13" s="5">
        <f>C13*0.2</f>
        <v>5</v>
      </c>
      <c r="E13" s="5">
        <f>C13-D13</f>
        <v>20</v>
      </c>
      <c r="F13" s="5">
        <f>E13*1.3%</f>
        <v>0.26</v>
      </c>
      <c r="G13" s="15">
        <f>E13*0.001</f>
        <v>0.02</v>
      </c>
      <c r="H13" s="5">
        <f>E13*0.072</f>
        <v>1.44</v>
      </c>
      <c r="I13" s="5">
        <f>E13*0.3</f>
        <v>6</v>
      </c>
      <c r="J13" s="5">
        <f>E13*0.06%</f>
        <v>1.1999999999999999E-2</v>
      </c>
      <c r="K13" s="5">
        <f>E13*5%</f>
        <v>1</v>
      </c>
      <c r="L13" s="5">
        <v>0</v>
      </c>
      <c r="M13" s="5">
        <f>E13*51%</f>
        <v>10.199999999999999</v>
      </c>
      <c r="N13" s="5">
        <f>E13*55%</f>
        <v>11</v>
      </c>
      <c r="O13" s="5">
        <f>E13*38%</f>
        <v>7.6</v>
      </c>
      <c r="P13" s="5">
        <f>E13*0.7%</f>
        <v>0.13999999999999999</v>
      </c>
      <c r="Q13" s="5">
        <v>60</v>
      </c>
      <c r="R13" s="4">
        <f>C13/1000*60</f>
        <v>1.5</v>
      </c>
    </row>
    <row r="14" spans="1:18" ht="18.75" x14ac:dyDescent="0.3">
      <c r="A14" s="10"/>
      <c r="B14" s="16" t="s">
        <v>33</v>
      </c>
      <c r="C14" s="5">
        <v>25</v>
      </c>
      <c r="D14" s="5">
        <f>C14*0.2</f>
        <v>5</v>
      </c>
      <c r="E14" s="5">
        <f>C14-D14</f>
        <v>20</v>
      </c>
      <c r="F14" s="5">
        <f>E14*0.015</f>
        <v>0.3</v>
      </c>
      <c r="G14" s="5">
        <f>E14*0.001</f>
        <v>0.02</v>
      </c>
      <c r="H14" s="5">
        <f>E14*0.091</f>
        <v>1.8199999999999998</v>
      </c>
      <c r="I14" s="5">
        <f>E14*0.42</f>
        <v>8.4</v>
      </c>
      <c r="J14" s="5">
        <f>E14*0.02%</f>
        <v>4.0000000000000001E-3</v>
      </c>
      <c r="K14" s="5">
        <f>E14*10%</f>
        <v>2</v>
      </c>
      <c r="L14" s="5">
        <v>0</v>
      </c>
      <c r="M14" s="5">
        <f>E14*37%</f>
        <v>7.4</v>
      </c>
      <c r="N14" s="5">
        <f>E14*43%</f>
        <v>8.6</v>
      </c>
      <c r="O14" s="5">
        <f>E14*22%</f>
        <v>4.4000000000000004</v>
      </c>
      <c r="P14" s="5">
        <f>E14*1.4%</f>
        <v>0.27999999999999997</v>
      </c>
      <c r="Q14" s="5">
        <v>60</v>
      </c>
      <c r="R14" s="5">
        <f>C14/1000*60</f>
        <v>1.5</v>
      </c>
    </row>
    <row r="15" spans="1:18" ht="18.75" x14ac:dyDescent="0.25">
      <c r="A15" s="17"/>
      <c r="B15" s="16" t="s">
        <v>34</v>
      </c>
      <c r="C15" s="18">
        <v>10</v>
      </c>
      <c r="D15" s="18">
        <v>0</v>
      </c>
      <c r="E15" s="18">
        <f>C15-D15</f>
        <v>10</v>
      </c>
      <c r="F15" s="18">
        <v>0</v>
      </c>
      <c r="G15" s="19">
        <f>E15*0.999</f>
        <v>9.99</v>
      </c>
      <c r="H15" s="18">
        <v>0</v>
      </c>
      <c r="I15" s="18">
        <f>E15*8.99</f>
        <v>89.9</v>
      </c>
      <c r="J15" s="18">
        <f>E15*0.06%</f>
        <v>5.9999999999999993E-3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180</v>
      </c>
      <c r="R15" s="18">
        <f>C15/1000*180</f>
        <v>1.8</v>
      </c>
    </row>
    <row r="16" spans="1:18" ht="31.5" x14ac:dyDescent="0.3">
      <c r="A16" s="10"/>
      <c r="B16" s="16" t="s">
        <v>35</v>
      </c>
      <c r="C16" s="5">
        <v>9</v>
      </c>
      <c r="D16" s="5">
        <v>0</v>
      </c>
      <c r="E16" s="5">
        <f>C16-D16</f>
        <v>9</v>
      </c>
      <c r="F16" s="5">
        <v>0</v>
      </c>
      <c r="G16" s="15">
        <f>E16*0.999</f>
        <v>8.9909999999999997</v>
      </c>
      <c r="H16" s="5">
        <v>0</v>
      </c>
      <c r="I16" s="5">
        <f>E16*8.99</f>
        <v>80.91</v>
      </c>
      <c r="J16" s="5">
        <f>E16*0.06%</f>
        <v>5.3999999999999994E-3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150</v>
      </c>
      <c r="R16" s="5">
        <f>C16/1000*150</f>
        <v>1.3499999999999999</v>
      </c>
    </row>
    <row r="17" spans="1:18" ht="18.75" x14ac:dyDescent="0.3">
      <c r="A17" s="10"/>
      <c r="B17" s="14" t="s">
        <v>21</v>
      </c>
      <c r="C17" s="7">
        <f t="shared" ref="C17:P17" si="1">SUM(C12:C16)</f>
        <v>94</v>
      </c>
      <c r="D17" s="7">
        <f t="shared" si="1"/>
        <v>16.25</v>
      </c>
      <c r="E17" s="7">
        <f t="shared" si="1"/>
        <v>77.75</v>
      </c>
      <c r="F17" s="7">
        <f t="shared" si="1"/>
        <v>0.93500000000000005</v>
      </c>
      <c r="G17" s="7">
        <f t="shared" si="1"/>
        <v>19.096</v>
      </c>
      <c r="H17" s="7">
        <f t="shared" si="1"/>
        <v>6.3162500000000001</v>
      </c>
      <c r="I17" s="7">
        <f t="shared" si="1"/>
        <v>200.21</v>
      </c>
      <c r="J17" s="7">
        <f t="shared" si="1"/>
        <v>4.9899999999999993E-2</v>
      </c>
      <c r="K17" s="7">
        <f t="shared" si="1"/>
        <v>6.75</v>
      </c>
      <c r="L17" s="7">
        <f t="shared" si="1"/>
        <v>0</v>
      </c>
      <c r="M17" s="7">
        <f t="shared" si="1"/>
        <v>19.475000000000001</v>
      </c>
      <c r="N17" s="7">
        <f t="shared" si="1"/>
        <v>30.475000000000001</v>
      </c>
      <c r="O17" s="7">
        <f t="shared" si="1"/>
        <v>16.3125</v>
      </c>
      <c r="P17" s="7">
        <f t="shared" si="1"/>
        <v>0.58874999999999988</v>
      </c>
      <c r="Q17" s="7"/>
      <c r="R17" s="7">
        <f>SUM(R12:R16)</f>
        <v>7.5749999999999993</v>
      </c>
    </row>
    <row r="18" spans="1:18" ht="21" x14ac:dyDescent="0.35">
      <c r="A18" s="10"/>
      <c r="B18" s="27" t="s">
        <v>23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/>
    </row>
    <row r="19" spans="1:18" ht="18.75" x14ac:dyDescent="0.3">
      <c r="A19" s="10"/>
      <c r="B19" s="9" t="s">
        <v>21</v>
      </c>
      <c r="C19" s="7">
        <v>30</v>
      </c>
      <c r="D19" s="7">
        <v>0</v>
      </c>
      <c r="E19" s="7">
        <v>30</v>
      </c>
      <c r="F19" s="7">
        <f>E19*7.9%</f>
        <v>2.37</v>
      </c>
      <c r="G19" s="7">
        <f>E19*1%</f>
        <v>0.3</v>
      </c>
      <c r="H19" s="7">
        <f>E19*48.1%</f>
        <v>14.430000000000001</v>
      </c>
      <c r="I19" s="7">
        <f>E19*239%</f>
        <v>71.7</v>
      </c>
      <c r="J19" s="7">
        <f>E19*0.16%</f>
        <v>4.8000000000000001E-2</v>
      </c>
      <c r="K19" s="7">
        <v>0</v>
      </c>
      <c r="L19" s="7">
        <v>0</v>
      </c>
      <c r="M19" s="7">
        <f>E19*23%</f>
        <v>6.9</v>
      </c>
      <c r="N19" s="7">
        <f>E19*87%</f>
        <v>26.1</v>
      </c>
      <c r="O19" s="7">
        <f>E19*33%</f>
        <v>9.9</v>
      </c>
      <c r="P19" s="7">
        <f>E19*2%</f>
        <v>0.6</v>
      </c>
      <c r="Q19" s="7">
        <v>50</v>
      </c>
      <c r="R19" s="7">
        <f>C19/1000*50</f>
        <v>1.5</v>
      </c>
    </row>
    <row r="20" spans="1:18" ht="21" x14ac:dyDescent="0.35">
      <c r="A20" s="10"/>
      <c r="B20" s="27" t="s">
        <v>36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pans="1:18" ht="18.75" x14ac:dyDescent="0.3">
      <c r="A21" s="10"/>
      <c r="B21" s="5" t="s">
        <v>37</v>
      </c>
      <c r="C21" s="5">
        <v>1</v>
      </c>
      <c r="D21" s="5">
        <v>0</v>
      </c>
      <c r="E21" s="5">
        <f>C21-D21</f>
        <v>1</v>
      </c>
      <c r="F21" s="5">
        <f>E21*21.74%</f>
        <v>0.21739999999999998</v>
      </c>
      <c r="G21" s="5">
        <f>E21*7.61%</f>
        <v>7.6100000000000001E-2</v>
      </c>
      <c r="H21" s="5">
        <f>E21*2.86%</f>
        <v>2.86E-2</v>
      </c>
      <c r="I21" s="5">
        <f>E21*9.18%</f>
        <v>9.1799999999999993E-2</v>
      </c>
      <c r="J21" s="5">
        <f>E21*4.7%</f>
        <v>4.7E-2</v>
      </c>
      <c r="K21" s="5">
        <f>E21*11%</f>
        <v>0.11</v>
      </c>
      <c r="L21" s="5">
        <f>E21*5.6%</f>
        <v>5.5999999999999994E-2</v>
      </c>
      <c r="M21" s="5">
        <f>E21*50%</f>
        <v>0.5</v>
      </c>
      <c r="N21" s="5">
        <f>E21*10%</f>
        <v>0.1</v>
      </c>
      <c r="O21" s="5">
        <f>E21*110%</f>
        <v>1.1000000000000001</v>
      </c>
      <c r="P21" s="5">
        <f>E21*456%</f>
        <v>4.5599999999999996</v>
      </c>
      <c r="Q21" s="5">
        <v>950</v>
      </c>
      <c r="R21" s="5">
        <f>C21/1000*950</f>
        <v>0.95000000000000007</v>
      </c>
    </row>
    <row r="22" spans="1:18" ht="18.75" x14ac:dyDescent="0.3">
      <c r="A22" s="10"/>
      <c r="B22" s="5" t="s">
        <v>24</v>
      </c>
      <c r="C22" s="5">
        <v>15</v>
      </c>
      <c r="D22" s="5">
        <v>0</v>
      </c>
      <c r="E22" s="5">
        <v>15</v>
      </c>
      <c r="F22" s="5">
        <v>0</v>
      </c>
      <c r="G22" s="5">
        <v>0</v>
      </c>
      <c r="H22" s="5">
        <f>E22*99.8%</f>
        <v>14.97</v>
      </c>
      <c r="I22" s="5">
        <f>E22*379%</f>
        <v>56.85</v>
      </c>
      <c r="J22" s="5">
        <v>0</v>
      </c>
      <c r="K22" s="5">
        <v>0</v>
      </c>
      <c r="L22" s="5">
        <v>0</v>
      </c>
      <c r="M22" s="5">
        <f>E22*2%</f>
        <v>0.3</v>
      </c>
      <c r="N22" s="5">
        <v>0</v>
      </c>
      <c r="O22" s="5">
        <v>0</v>
      </c>
      <c r="P22" s="5">
        <f>E22*0.3%</f>
        <v>4.4999999999999998E-2</v>
      </c>
      <c r="Q22" s="5">
        <v>60</v>
      </c>
      <c r="R22" s="5">
        <f>C22/1000*60</f>
        <v>0.89999999999999991</v>
      </c>
    </row>
    <row r="23" spans="1:18" ht="18.75" x14ac:dyDescent="0.3">
      <c r="A23" s="10"/>
      <c r="B23" s="9" t="s">
        <v>21</v>
      </c>
      <c r="C23" s="7">
        <v>16</v>
      </c>
      <c r="D23" s="7">
        <f>SUM(D22:D22)</f>
        <v>0</v>
      </c>
      <c r="E23" s="7">
        <v>150</v>
      </c>
      <c r="F23" s="7">
        <f t="shared" ref="F23:P23" si="2">SUM(F22:F22)</f>
        <v>0</v>
      </c>
      <c r="G23" s="7">
        <f t="shared" si="2"/>
        <v>0</v>
      </c>
      <c r="H23" s="7">
        <f t="shared" si="2"/>
        <v>14.97</v>
      </c>
      <c r="I23" s="7">
        <f t="shared" si="2"/>
        <v>56.85</v>
      </c>
      <c r="J23" s="7">
        <f t="shared" si="2"/>
        <v>0</v>
      </c>
      <c r="K23" s="7">
        <f t="shared" si="2"/>
        <v>0</v>
      </c>
      <c r="L23" s="7">
        <f t="shared" si="2"/>
        <v>0</v>
      </c>
      <c r="M23" s="7">
        <f t="shared" si="2"/>
        <v>0.3</v>
      </c>
      <c r="N23" s="7">
        <f t="shared" si="2"/>
        <v>0</v>
      </c>
      <c r="O23" s="7">
        <f t="shared" si="2"/>
        <v>0</v>
      </c>
      <c r="P23" s="7">
        <f t="shared" si="2"/>
        <v>4.4999999999999998E-2</v>
      </c>
      <c r="Q23" s="7"/>
      <c r="R23" s="7">
        <f>SUM(R21:R22)</f>
        <v>1.85</v>
      </c>
    </row>
    <row r="24" spans="1:18" ht="18.75" x14ac:dyDescent="0.3">
      <c r="A24" s="10"/>
      <c r="B24" s="24" t="s">
        <v>25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6"/>
    </row>
    <row r="25" spans="1:18" ht="18.75" x14ac:dyDescent="0.3">
      <c r="A25" s="10"/>
      <c r="B25" s="9" t="s">
        <v>21</v>
      </c>
      <c r="C25" s="7">
        <v>40</v>
      </c>
      <c r="D25" s="7">
        <v>0</v>
      </c>
      <c r="E25" s="7">
        <f>C25-D25</f>
        <v>40</v>
      </c>
      <c r="F25" s="5">
        <f>E25*7.5%</f>
        <v>3</v>
      </c>
      <c r="G25" s="5">
        <f>E25*11.8%</f>
        <v>4.7200000000000006</v>
      </c>
      <c r="H25" s="5">
        <f>E25*74.4%</f>
        <v>29.760000000000005</v>
      </c>
      <c r="I25" s="5">
        <f>E25*436%</f>
        <v>174.4</v>
      </c>
      <c r="J25" s="5">
        <f>E25*0.08%</f>
        <v>3.2000000000000001E-2</v>
      </c>
      <c r="K25" s="5">
        <f>E25*0%</f>
        <v>0</v>
      </c>
      <c r="L25" s="5">
        <f>E25*0%</f>
        <v>0</v>
      </c>
      <c r="M25" s="5">
        <f>E25*29%</f>
        <v>11.6</v>
      </c>
      <c r="N25" s="5">
        <f>E25*90%</f>
        <v>36</v>
      </c>
      <c r="O25" s="5">
        <f>E25*20%</f>
        <v>8</v>
      </c>
      <c r="P25" s="5">
        <f>E25*2.1%</f>
        <v>0.84000000000000008</v>
      </c>
      <c r="Q25" s="5">
        <v>160</v>
      </c>
      <c r="R25" s="7">
        <f>C25/1000*160</f>
        <v>6.4</v>
      </c>
    </row>
    <row r="26" spans="1:18" ht="21" x14ac:dyDescent="0.35">
      <c r="A26" s="8"/>
      <c r="B26" s="27" t="s">
        <v>38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</row>
    <row r="27" spans="1:18" ht="18.75" x14ac:dyDescent="0.3">
      <c r="A27" s="8"/>
      <c r="B27" s="9" t="s">
        <v>21</v>
      </c>
      <c r="C27" s="7">
        <v>140</v>
      </c>
      <c r="D27" s="7">
        <v>0</v>
      </c>
      <c r="E27" s="7">
        <f>C27-D27</f>
        <v>140</v>
      </c>
      <c r="F27" s="7">
        <f>E27*0.08%</f>
        <v>0.112</v>
      </c>
      <c r="G27" s="7">
        <v>0</v>
      </c>
      <c r="H27" s="7">
        <f>E27*9.6%</f>
        <v>13.44</v>
      </c>
      <c r="I27" s="7">
        <f>E27*43%</f>
        <v>60.199999999999996</v>
      </c>
      <c r="J27" s="7">
        <f>E27*0.06%</f>
        <v>8.3999999999999991E-2</v>
      </c>
      <c r="K27" s="7">
        <f>E27*10%</f>
        <v>14</v>
      </c>
      <c r="L27" s="7">
        <v>0</v>
      </c>
      <c r="M27" s="7">
        <f>E27*20%</f>
        <v>28</v>
      </c>
      <c r="N27" s="7">
        <f>E27*20%</f>
        <v>28</v>
      </c>
      <c r="O27" s="7">
        <f>E27*9%</f>
        <v>12.6</v>
      </c>
      <c r="P27" s="7">
        <f>E27*0.5%</f>
        <v>0.70000000000000007</v>
      </c>
      <c r="Q27" s="7">
        <v>63</v>
      </c>
      <c r="R27" s="7">
        <f>C27/1000*63</f>
        <v>8.82</v>
      </c>
    </row>
    <row r="28" spans="1:18" ht="21" x14ac:dyDescent="0.35">
      <c r="A28" s="10"/>
      <c r="B28" s="30" t="s">
        <v>26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</row>
    <row r="29" spans="1:18" ht="18.75" x14ac:dyDescent="0.3">
      <c r="A29" s="10"/>
      <c r="B29" s="9" t="s">
        <v>21</v>
      </c>
      <c r="C29" s="11">
        <v>3</v>
      </c>
      <c r="D29" s="7">
        <v>0</v>
      </c>
      <c r="E29" s="11">
        <f>C29-D29</f>
        <v>3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20</v>
      </c>
      <c r="R29" s="11">
        <f>C29/1000*20</f>
        <v>0.06</v>
      </c>
    </row>
    <row r="30" spans="1:18" ht="18.75" x14ac:dyDescent="0.3">
      <c r="A30" s="10"/>
      <c r="B30" s="9"/>
      <c r="C30" s="11"/>
      <c r="D30" s="7"/>
      <c r="E30" s="1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1"/>
    </row>
    <row r="31" spans="1:18" ht="23.25" x14ac:dyDescent="0.35">
      <c r="A31" s="20"/>
      <c r="B31" s="12" t="s">
        <v>21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f>R29+R27+R25+R23+R19+R17+R10</f>
        <v>60.995000000000005</v>
      </c>
    </row>
  </sheetData>
  <mergeCells count="27">
    <mergeCell ref="B18:R18"/>
    <mergeCell ref="F2:F4"/>
    <mergeCell ref="B11:R11"/>
    <mergeCell ref="M3:M4"/>
    <mergeCell ref="A2:A3"/>
    <mergeCell ref="B2:B3"/>
    <mergeCell ref="C2:C4"/>
    <mergeCell ref="D2:D4"/>
    <mergeCell ref="K3:K4"/>
    <mergeCell ref="J3:J4"/>
    <mergeCell ref="E2:E4"/>
    <mergeCell ref="N3:N4"/>
    <mergeCell ref="B24:R24"/>
    <mergeCell ref="B26:R26"/>
    <mergeCell ref="B28:R28"/>
    <mergeCell ref="G2:G4"/>
    <mergeCell ref="H2:H4"/>
    <mergeCell ref="I2:I4"/>
    <mergeCell ref="J2:L2"/>
    <mergeCell ref="M2:P2"/>
    <mergeCell ref="R2:R4"/>
    <mergeCell ref="L3:L4"/>
    <mergeCell ref="B20:R20"/>
    <mergeCell ref="O3:O4"/>
    <mergeCell ref="P3:P4"/>
    <mergeCell ref="Q2:Q4"/>
    <mergeCell ref="B5:R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2022-04-06T07:44:15Z</dcterms:modified>
</cp:coreProperties>
</file>